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AREZ\"/>
    </mc:Choice>
  </mc:AlternateContent>
  <bookViews>
    <workbookView xWindow="0" yWindow="0" windowWidth="28800" windowHeight="12435"/>
  </bookViews>
  <sheets>
    <sheet name="Aguinaldo" sheetId="1" r:id="rId1"/>
    <sheet name="Calculos" sheetId="3" state="hidden" r:id="rId2"/>
    <sheet name="ISR" sheetId="2" state="hidden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H20" i="2" l="1"/>
  <c r="B5" i="3" l="1"/>
  <c r="B4" i="3"/>
  <c r="B20" i="2"/>
  <c r="B6" i="3"/>
  <c r="B15" i="3" l="1"/>
  <c r="B16" i="3" s="1"/>
  <c r="B7" i="1"/>
  <c r="C7" i="1" s="1"/>
  <c r="B14" i="3"/>
  <c r="B23" i="3"/>
  <c r="C23" i="3" s="1"/>
  <c r="B9" i="3"/>
  <c r="F1" i="3"/>
  <c r="F2" i="3"/>
  <c r="B24" i="3"/>
  <c r="C24" i="3" s="1"/>
  <c r="C25" i="3" l="1"/>
  <c r="B25" i="3"/>
  <c r="C6" i="1"/>
  <c r="B21" i="2"/>
  <c r="F8" i="3"/>
  <c r="B17" i="3"/>
  <c r="B18" i="3" s="1"/>
  <c r="E21" i="2" s="1"/>
  <c r="F3" i="3"/>
  <c r="F5" i="3" s="1"/>
  <c r="F7" i="3" s="1"/>
  <c r="E30" i="2" l="1"/>
  <c r="E27" i="2"/>
  <c r="E25" i="2"/>
  <c r="E22" i="2"/>
  <c r="E23" i="2" s="1"/>
  <c r="E26" i="2" s="1"/>
  <c r="E28" i="2" s="1"/>
  <c r="B27" i="2"/>
  <c r="B22" i="2"/>
  <c r="B23" i="2" s="1"/>
  <c r="B30" i="2"/>
  <c r="B25" i="2"/>
  <c r="F16" i="3"/>
  <c r="F13" i="3"/>
  <c r="F9" i="3"/>
  <c r="H21" i="2" s="1"/>
  <c r="H27" i="2" l="1"/>
  <c r="H30" i="2"/>
  <c r="H25" i="2"/>
  <c r="H22" i="2"/>
  <c r="H23" i="2" s="1"/>
  <c r="E32" i="2"/>
  <c r="E34" i="2"/>
  <c r="B26" i="2"/>
  <c r="B28" i="2" s="1"/>
  <c r="H26" i="2" l="1"/>
  <c r="H28" i="2" s="1"/>
  <c r="B19" i="3"/>
  <c r="E33" i="2"/>
  <c r="H32" i="2"/>
  <c r="H34" i="2"/>
  <c r="B32" i="2"/>
  <c r="B34" i="2"/>
  <c r="B20" i="3" l="1"/>
  <c r="B26" i="3"/>
  <c r="B8" i="1"/>
  <c r="B9" i="1" s="1"/>
  <c r="B10" i="3"/>
  <c r="B33" i="2"/>
  <c r="F10" i="3"/>
  <c r="H33" i="2"/>
  <c r="F11" i="3" l="1"/>
  <c r="F12" i="3" s="1"/>
  <c r="F14" i="3" s="1"/>
  <c r="F17" i="3" s="1"/>
  <c r="F19" i="3" s="1"/>
  <c r="C8" i="1" s="1"/>
  <c r="C9" i="1" s="1"/>
  <c r="B11" i="3"/>
</calcChain>
</file>

<file path=xl/sharedStrings.xml><?xml version="1.0" encoding="utf-8"?>
<sst xmlns="http://schemas.openxmlformats.org/spreadsheetml/2006/main" count="102" uniqueCount="71">
  <si>
    <t>Datos</t>
  </si>
  <si>
    <t>Salario diario</t>
  </si>
  <si>
    <t>Mensual de 30 días</t>
  </si>
  <si>
    <t>ISR del Sueldo</t>
  </si>
  <si>
    <t>Neto pagado</t>
  </si>
  <si>
    <t xml:space="preserve">En la nómina </t>
  </si>
  <si>
    <t>Con el aguinaldo</t>
  </si>
  <si>
    <t>Dias de aguinaldo</t>
  </si>
  <si>
    <t>Aguinaldo</t>
  </si>
  <si>
    <t>Sueldo mensual</t>
  </si>
  <si>
    <t>Ley Art. 96</t>
  </si>
  <si>
    <t>Parte exenta</t>
  </si>
  <si>
    <t>Aguinaldo exento</t>
  </si>
  <si>
    <t>Exento</t>
  </si>
  <si>
    <t xml:space="preserve">15 días </t>
  </si>
  <si>
    <t>Días del mes</t>
  </si>
  <si>
    <t>Parte que paga ISR</t>
  </si>
  <si>
    <t>ISR del aguinaldo</t>
  </si>
  <si>
    <t>Gravado</t>
  </si>
  <si>
    <t>dias del año</t>
  </si>
  <si>
    <t>Salario mensual</t>
  </si>
  <si>
    <t>Base gravable</t>
  </si>
  <si>
    <t>Tarifa ISR</t>
  </si>
  <si>
    <t>ISR salario</t>
  </si>
  <si>
    <t>Diferencia</t>
  </si>
  <si>
    <t>Tasa</t>
  </si>
  <si>
    <t>Aguinaldo gravado</t>
  </si>
  <si>
    <t>ISR retener</t>
  </si>
  <si>
    <t>RISR 174</t>
  </si>
  <si>
    <t xml:space="preserve">Promedio </t>
  </si>
  <si>
    <t>Factor mensual</t>
  </si>
  <si>
    <t>Cociente</t>
  </si>
  <si>
    <t>TARIFA</t>
  </si>
  <si>
    <t>mensual</t>
  </si>
  <si>
    <t>LIMITE</t>
  </si>
  <si>
    <t xml:space="preserve">LIMITE </t>
  </si>
  <si>
    <t>CUOTA</t>
  </si>
  <si>
    <t>%</t>
  </si>
  <si>
    <t>INFERIOR</t>
  </si>
  <si>
    <t>SUPERIOR</t>
  </si>
  <si>
    <t>FIJA</t>
  </si>
  <si>
    <t>Salario diario sin prestaciones</t>
  </si>
  <si>
    <t>Mensual</t>
  </si>
  <si>
    <t>INGRESOS</t>
  </si>
  <si>
    <t>LIMITE INFERIOR</t>
  </si>
  <si>
    <t>EXCEDENTE</t>
  </si>
  <si>
    <t>PORCENTAJE</t>
  </si>
  <si>
    <t>APLICADO</t>
  </si>
  <si>
    <t>CUOTA FIJA</t>
  </si>
  <si>
    <t>IMPUESTO</t>
  </si>
  <si>
    <t>NETO A PAGAR</t>
  </si>
  <si>
    <t>Dias que te dan de aguinaldo al año</t>
  </si>
  <si>
    <t>ISR aguinaldo</t>
  </si>
  <si>
    <t>SUBSIDIO AL EMPLEO</t>
  </si>
  <si>
    <t>INGRESO</t>
  </si>
  <si>
    <t xml:space="preserve">SUBSIDIO </t>
  </si>
  <si>
    <t>DESDE</t>
  </si>
  <si>
    <t>HASTA</t>
  </si>
  <si>
    <t>EMPLEO</t>
  </si>
  <si>
    <t>Subsidio</t>
  </si>
  <si>
    <t>ISR POR PAGAR</t>
  </si>
  <si>
    <t>risr 174</t>
  </si>
  <si>
    <t xml:space="preserve">Resultados </t>
  </si>
  <si>
    <t>Aguinaldo calculado</t>
  </si>
  <si>
    <t>ISR opción reglamento</t>
  </si>
  <si>
    <t>ISR que te van a retener</t>
  </si>
  <si>
    <t>Neto que vas a recibir</t>
  </si>
  <si>
    <t>Coloca en las celdas amarillas tus datos</t>
  </si>
  <si>
    <t>Aguinaldo exento de impuestos</t>
  </si>
  <si>
    <t>UMA mensual</t>
  </si>
  <si>
    <t>ISR según Ley ISR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</si>
</sst>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164" formatCode="#,##0.00_ ;[Red]\-#,##0.00\ "/>
    <numFmt numFmtId="165" formatCode="#,##0.0_ ;[Red]\-#,##0.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Lucida Sans Unicode"/>
      <family val="2"/>
    </font>
    <font>
      <b/>
      <sz val="11"/>
      <name val="Lucida Sans Unicode"/>
      <family val="2"/>
    </font>
    <font>
      <b/>
      <sz val="10"/>
      <color theme="7" tint="-0.249977111117893"/>
      <name val="Kozuka Gothic Pr6N H"/>
      <family val="2"/>
      <charset val="128"/>
    </font>
    <font>
      <b/>
      <sz val="10"/>
      <color indexed="9"/>
      <name val="Lucida Sans Unicode"/>
      <family val="2"/>
    </font>
    <font>
      <sz val="9"/>
      <name val="Lucida Sans Unicode"/>
      <family val="2"/>
    </font>
    <font>
      <b/>
      <sz val="9"/>
      <name val="Lucida Sans Unicode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ck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8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center"/>
    </xf>
    <xf numFmtId="164" fontId="0" fillId="0" borderId="0" xfId="0" applyNumberFormat="1"/>
    <xf numFmtId="10" fontId="0" fillId="0" borderId="0" xfId="1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4" fontId="6" fillId="0" borderId="0" xfId="0" applyNumberFormat="1" applyFont="1" applyAlignment="1">
      <alignment horizontal="right" wrapText="1"/>
    </xf>
    <xf numFmtId="4" fontId="6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right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9" fontId="8" fillId="0" borderId="0" xfId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165" fontId="0" fillId="0" borderId="0" xfId="0" applyNumberFormat="1"/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8" fontId="15" fillId="4" borderId="5" xfId="0" applyNumberFormat="1" applyFont="1" applyFill="1" applyBorder="1" applyAlignment="1">
      <alignment vertical="center"/>
    </xf>
    <xf numFmtId="0" fontId="15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4" fontId="7" fillId="0" borderId="9" xfId="0" applyNumberFormat="1" applyFont="1" applyBorder="1" applyAlignment="1">
      <alignment vertical="center"/>
    </xf>
    <xf numFmtId="4" fontId="7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8" fontId="14" fillId="0" borderId="12" xfId="0" applyNumberFormat="1" applyFont="1" applyBorder="1" applyAlignment="1">
      <alignment vertical="center"/>
    </xf>
    <xf numFmtId="8" fontId="14" fillId="0" borderId="13" xfId="0" applyNumberFormat="1" applyFont="1" applyBorder="1" applyAlignment="1">
      <alignment vertical="center"/>
    </xf>
    <xf numFmtId="0" fontId="0" fillId="0" borderId="14" xfId="0" applyBorder="1" applyAlignment="1">
      <alignment vertical="center"/>
    </xf>
    <xf numFmtId="4" fontId="7" fillId="0" borderId="15" xfId="0" applyNumberFormat="1" applyFont="1" applyBorder="1" applyAlignment="1">
      <alignment vertical="center"/>
    </xf>
    <xf numFmtId="4" fontId="7" fillId="0" borderId="16" xfId="0" applyNumberFormat="1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10</xdr:row>
      <xdr:rowOff>180975</xdr:rowOff>
    </xdr:from>
    <xdr:ext cx="4857750" cy="2894767"/>
    <xdr:sp macro="" textlink="">
      <xdr:nvSpPr>
        <xdr:cNvPr id="2" name="CuadroTexto 1"/>
        <xdr:cNvSpPr txBox="1"/>
      </xdr:nvSpPr>
      <xdr:spPr>
        <a:xfrm>
          <a:off x="228600" y="3895725"/>
          <a:ext cx="4857750" cy="2894767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MX" sz="1200"/>
            <a:t>Esta hoja de cálculo te ayudará</a:t>
          </a:r>
          <a:r>
            <a:rPr lang="es-MX" sz="1200" baseline="0"/>
            <a:t> para darte una idea de cuánto te toca de aguinaldo. Usamos el cálculo tradicional y una opción que marca el reglamento del ISR artículo 96</a:t>
          </a:r>
        </a:p>
        <a:p>
          <a:endParaRPr lang="es-MX" sz="12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aseline="0"/>
            <a:t>Si varía el resultado éstas pueden ser algunas razones o bien, </a:t>
          </a:r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acércate al contador de la empresa donde trabajas, él te podrá asesorar mejor.</a:t>
          </a:r>
          <a:endParaRPr lang="es-MX" sz="1200">
            <a:effectLst/>
          </a:endParaRPr>
        </a:p>
        <a:p>
          <a:endParaRPr lang="es-MX" sz="1200" baseline="0"/>
        </a:p>
        <a:p>
          <a:r>
            <a:rPr lang="es-MX" sz="1200" baseline="0"/>
            <a:t>1. Si tuviste faltas en el año</a:t>
          </a:r>
        </a:p>
        <a:p>
          <a:r>
            <a:rPr lang="es-MX" sz="1200" baseline="0"/>
            <a:t>2. Si tu sueldo es variable</a:t>
          </a:r>
        </a:p>
        <a:p>
          <a:r>
            <a:rPr lang="es-MX" sz="1200" baseline="0"/>
            <a:t>3. Si ya te habían dado un adelanto</a:t>
          </a:r>
        </a:p>
        <a:p>
          <a:r>
            <a:rPr lang="es-MX" sz="1200" baseline="0"/>
            <a:t>4. Errores en los datos que capturaste y redondeo de cifras</a:t>
          </a:r>
        </a:p>
        <a:p>
          <a:r>
            <a:rPr lang="es-MX" sz="1200" baseline="0"/>
            <a:t>5. Otras prestaciones que te dieron junto con tu aguinaldo, bonos, vacaciones, entre otras.</a:t>
          </a:r>
        </a:p>
        <a:p>
          <a:endParaRPr lang="es-MX" sz="1200" baseline="0"/>
        </a:p>
        <a:p>
          <a:r>
            <a:rPr lang="es-MX" sz="1200" baseline="0"/>
            <a:t>Esperamos te sea de utilidad.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ALCULA%20IMPUESTOS/2016~Calcula%20Impuest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Sem"/>
      <sheetName val="Tablas"/>
      <sheetName val="TABACUM"/>
      <sheetName val="CalcSemanal"/>
      <sheetName val="CalcQnal"/>
      <sheetName val="CalcMensual"/>
      <sheetName val="CalcAcum"/>
      <sheetName val="CalcAnual"/>
      <sheetName val="PF_ANUAL"/>
    </sheetNames>
    <sheetDataSet>
      <sheetData sheetId="0"/>
      <sheetData sheetId="1">
        <row r="20">
          <cell r="A20" t="str">
            <v>TARIFA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C10"/>
  <sheetViews>
    <sheetView showGridLines="0" tabSelected="1" workbookViewId="0">
      <selection activeCell="H3" sqref="H3"/>
    </sheetView>
  </sheetViews>
  <sheetFormatPr baseColWidth="10" defaultRowHeight="26.25" customHeight="1" x14ac:dyDescent="0.25"/>
  <cols>
    <col min="1" max="1" width="36.140625" style="15" customWidth="1"/>
    <col min="2" max="2" width="20.140625" style="16" customWidth="1"/>
    <col min="3" max="3" width="20.140625" style="15" customWidth="1"/>
    <col min="4" max="4" width="3.42578125" style="15" customWidth="1"/>
    <col min="5" max="16384" width="11.42578125" style="15"/>
  </cols>
  <sheetData>
    <row r="1" spans="1:3" ht="34.5" customHeight="1" thickTop="1" x14ac:dyDescent="0.25">
      <c r="A1" s="41" t="s">
        <v>67</v>
      </c>
      <c r="B1" s="42"/>
    </row>
    <row r="2" spans="1:3" ht="26.25" customHeight="1" x14ac:dyDescent="0.25">
      <c r="A2" s="25" t="s">
        <v>41</v>
      </c>
      <c r="B2" s="27">
        <v>213.25</v>
      </c>
    </row>
    <row r="3" spans="1:3" ht="26.25" customHeight="1" thickBot="1" x14ac:dyDescent="0.3">
      <c r="A3" s="26" t="s">
        <v>51</v>
      </c>
      <c r="B3" s="28">
        <v>15</v>
      </c>
    </row>
    <row r="4" spans="1:3" ht="26.25" customHeight="1" thickTop="1" thickBot="1" x14ac:dyDescent="0.3"/>
    <row r="5" spans="1:3" ht="30.75" thickBot="1" x14ac:dyDescent="0.3">
      <c r="A5" s="38" t="s">
        <v>62</v>
      </c>
      <c r="B5" s="39" t="s">
        <v>70</v>
      </c>
      <c r="C5" s="40" t="s">
        <v>64</v>
      </c>
    </row>
    <row r="6" spans="1:3" ht="26.25" customHeight="1" x14ac:dyDescent="0.25">
      <c r="A6" s="35" t="s">
        <v>63</v>
      </c>
      <c r="B6" s="36">
        <f>Calculos!B14</f>
        <v>3198.75</v>
      </c>
      <c r="C6" s="37">
        <f>B6</f>
        <v>3198.75</v>
      </c>
    </row>
    <row r="7" spans="1:3" ht="26.25" customHeight="1" x14ac:dyDescent="0.25">
      <c r="A7" s="29" t="s">
        <v>68</v>
      </c>
      <c r="B7" s="30">
        <f>Calculos!B6</f>
        <v>2418</v>
      </c>
      <c r="C7" s="31">
        <f>B7</f>
        <v>2418</v>
      </c>
    </row>
    <row r="8" spans="1:3" ht="26.25" customHeight="1" x14ac:dyDescent="0.25">
      <c r="A8" s="29" t="s">
        <v>65</v>
      </c>
      <c r="B8" s="30">
        <f>Calculos!B19</f>
        <v>317.39</v>
      </c>
      <c r="C8" s="31">
        <f>Calculos!F19</f>
        <v>84</v>
      </c>
    </row>
    <row r="9" spans="1:3" ht="26.25" customHeight="1" thickBot="1" x14ac:dyDescent="0.3">
      <c r="A9" s="32" t="s">
        <v>66</v>
      </c>
      <c r="B9" s="33">
        <f>ROUND(B6-B8,0)</f>
        <v>2881</v>
      </c>
      <c r="C9" s="34">
        <f>ROUND(C6-C8,0)</f>
        <v>3115</v>
      </c>
    </row>
    <row r="10" spans="1:3" ht="26.25" customHeight="1" thickTop="1" x14ac:dyDescent="0.25"/>
  </sheetData>
  <protectedRanges>
    <protectedRange sqref="A1:B3" name="Datos"/>
  </protectedRanges>
  <dataConsolidate/>
  <mergeCells count="1">
    <mergeCell ref="A1:B1"/>
  </mergeCells>
  <dataValidations count="1">
    <dataValidation allowBlank="1" showInputMessage="1" showErrorMessage="1" promptTitle="Salario" prompt="Este salario está en tu recibo de nómina " sqref="B2"/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B4" sqref="B4"/>
    </sheetView>
  </sheetViews>
  <sheetFormatPr baseColWidth="10" defaultRowHeight="15" x14ac:dyDescent="0.25"/>
  <cols>
    <col min="1" max="1" width="16.42578125" customWidth="1"/>
    <col min="4" max="4" width="3.42578125" customWidth="1"/>
    <col min="5" max="5" width="15" bestFit="1" customWidth="1"/>
  </cols>
  <sheetData>
    <row r="1" spans="1:6" x14ac:dyDescent="0.25">
      <c r="A1" s="3" t="s">
        <v>0</v>
      </c>
      <c r="E1" t="s">
        <v>8</v>
      </c>
      <c r="F1" s="2">
        <f>B14</f>
        <v>3198.75</v>
      </c>
    </row>
    <row r="2" spans="1:6" x14ac:dyDescent="0.25">
      <c r="A2" t="s">
        <v>15</v>
      </c>
      <c r="B2">
        <v>30</v>
      </c>
      <c r="E2" t="s">
        <v>13</v>
      </c>
      <c r="F2" s="4">
        <f>B15</f>
        <v>-2418</v>
      </c>
    </row>
    <row r="3" spans="1:6" x14ac:dyDescent="0.25">
      <c r="A3" t="s">
        <v>69</v>
      </c>
      <c r="B3" s="1">
        <v>80.599999999999994</v>
      </c>
      <c r="E3" t="s">
        <v>18</v>
      </c>
      <c r="F3" s="2">
        <f>SUM(F1:F2)</f>
        <v>780.75</v>
      </c>
    </row>
    <row r="4" spans="1:6" x14ac:dyDescent="0.25">
      <c r="A4" t="s">
        <v>1</v>
      </c>
      <c r="B4" s="1">
        <f>Aguinaldo!B2</f>
        <v>213.25</v>
      </c>
      <c r="E4" t="s">
        <v>19</v>
      </c>
      <c r="F4">
        <v>365</v>
      </c>
    </row>
    <row r="5" spans="1:6" x14ac:dyDescent="0.25">
      <c r="A5" t="s">
        <v>7</v>
      </c>
      <c r="B5">
        <f>Aguinaldo!B3</f>
        <v>15</v>
      </c>
      <c r="E5" t="s">
        <v>29</v>
      </c>
      <c r="F5">
        <f>F3/F4</f>
        <v>2.1390410958904109</v>
      </c>
    </row>
    <row r="6" spans="1:6" x14ac:dyDescent="0.25">
      <c r="A6" t="s">
        <v>12</v>
      </c>
      <c r="B6" s="1">
        <f>30*B3</f>
        <v>2418</v>
      </c>
      <c r="E6" t="s">
        <v>30</v>
      </c>
      <c r="F6">
        <v>30.4</v>
      </c>
    </row>
    <row r="7" spans="1:6" x14ac:dyDescent="0.25">
      <c r="E7" t="s">
        <v>31</v>
      </c>
      <c r="F7">
        <f>F5*F6</f>
        <v>65.026849315068489</v>
      </c>
    </row>
    <row r="8" spans="1:6" x14ac:dyDescent="0.25">
      <c r="A8" s="3" t="s">
        <v>5</v>
      </c>
      <c r="E8" t="s">
        <v>20</v>
      </c>
      <c r="F8" s="2">
        <f>B9</f>
        <v>6397.5</v>
      </c>
    </row>
    <row r="9" spans="1:6" x14ac:dyDescent="0.25">
      <c r="A9" t="s">
        <v>2</v>
      </c>
      <c r="B9" s="2">
        <f>B2*B4</f>
        <v>6397.5</v>
      </c>
      <c r="E9" t="s">
        <v>21</v>
      </c>
      <c r="F9" s="2">
        <f>ROUND(F8+F7,0)</f>
        <v>6463</v>
      </c>
    </row>
    <row r="10" spans="1:6" x14ac:dyDescent="0.25">
      <c r="A10" t="s">
        <v>3</v>
      </c>
      <c r="B10" s="4">
        <f>IF(ISR!B32&lt;0,0,ISR!B32)</f>
        <v>196.46</v>
      </c>
      <c r="E10" t="s">
        <v>22</v>
      </c>
      <c r="F10" s="4">
        <f>ISR!H32</f>
        <v>203.46</v>
      </c>
    </row>
    <row r="11" spans="1:6" x14ac:dyDescent="0.25">
      <c r="A11" t="s">
        <v>4</v>
      </c>
      <c r="B11" s="1">
        <f>+B9+B10</f>
        <v>6593.96</v>
      </c>
      <c r="E11" t="s">
        <v>23</v>
      </c>
      <c r="F11" s="4">
        <f>B10</f>
        <v>196.46</v>
      </c>
    </row>
    <row r="12" spans="1:6" x14ac:dyDescent="0.25">
      <c r="E12" t="s">
        <v>24</v>
      </c>
      <c r="F12" s="4">
        <f>+F10-F11</f>
        <v>7</v>
      </c>
    </row>
    <row r="13" spans="1:6" x14ac:dyDescent="0.25">
      <c r="A13" s="3" t="s">
        <v>6</v>
      </c>
      <c r="B13" s="3" t="s">
        <v>10</v>
      </c>
      <c r="C13" s="3"/>
      <c r="E13" t="s">
        <v>31</v>
      </c>
      <c r="F13">
        <f>F7</f>
        <v>65.026849315068489</v>
      </c>
    </row>
    <row r="14" spans="1:6" x14ac:dyDescent="0.25">
      <c r="A14" t="s">
        <v>8</v>
      </c>
      <c r="B14" s="2">
        <f>B5*B4</f>
        <v>3198.75</v>
      </c>
      <c r="E14" t="s">
        <v>25</v>
      </c>
      <c r="F14">
        <f>F12/F13</f>
        <v>0.10764784198729292</v>
      </c>
    </row>
    <row r="15" spans="1:6" x14ac:dyDescent="0.25">
      <c r="A15" t="s">
        <v>11</v>
      </c>
      <c r="B15" s="4">
        <f>-B6</f>
        <v>-2418</v>
      </c>
    </row>
    <row r="16" spans="1:6" x14ac:dyDescent="0.25">
      <c r="A16" t="s">
        <v>26</v>
      </c>
      <c r="B16" s="24">
        <f>+B14+B15</f>
        <v>780.75</v>
      </c>
      <c r="E16" t="s">
        <v>26</v>
      </c>
      <c r="F16" s="2">
        <f>F3</f>
        <v>780.75</v>
      </c>
    </row>
    <row r="17" spans="1:6" x14ac:dyDescent="0.25">
      <c r="A17" t="s">
        <v>9</v>
      </c>
      <c r="B17" s="2">
        <f>B9</f>
        <v>6397.5</v>
      </c>
      <c r="E17" t="s">
        <v>25</v>
      </c>
      <c r="F17" s="5">
        <f>F14</f>
        <v>0.10764784198729292</v>
      </c>
    </row>
    <row r="18" spans="1:6" x14ac:dyDescent="0.25">
      <c r="A18" t="s">
        <v>21</v>
      </c>
      <c r="B18" s="24">
        <f>+B17+B16</f>
        <v>7178.25</v>
      </c>
      <c r="F18" s="5"/>
    </row>
    <row r="19" spans="1:6" x14ac:dyDescent="0.25">
      <c r="A19" t="s">
        <v>17</v>
      </c>
      <c r="B19" s="4">
        <f>ISR!E32</f>
        <v>317.39</v>
      </c>
      <c r="E19" t="s">
        <v>27</v>
      </c>
      <c r="F19">
        <f>ROUND(F16*F17,0)</f>
        <v>84</v>
      </c>
    </row>
    <row r="20" spans="1:6" x14ac:dyDescent="0.25">
      <c r="A20" t="s">
        <v>4</v>
      </c>
      <c r="B20" s="1">
        <f>+B17-B19</f>
        <v>6080.11</v>
      </c>
    </row>
    <row r="21" spans="1:6" x14ac:dyDescent="0.25">
      <c r="B21" s="1"/>
    </row>
    <row r="22" spans="1:6" x14ac:dyDescent="0.25">
      <c r="A22" s="3" t="s">
        <v>8</v>
      </c>
      <c r="B22" s="3" t="s">
        <v>10</v>
      </c>
      <c r="C22" s="3" t="s">
        <v>28</v>
      </c>
    </row>
    <row r="23" spans="1:6" x14ac:dyDescent="0.25">
      <c r="A23" t="s">
        <v>14</v>
      </c>
      <c r="B23" s="2">
        <f>B14</f>
        <v>3198.75</v>
      </c>
      <c r="C23" s="2">
        <f>B23</f>
        <v>3198.75</v>
      </c>
    </row>
    <row r="24" spans="1:6" x14ac:dyDescent="0.25">
      <c r="A24" t="s">
        <v>11</v>
      </c>
      <c r="B24" s="4">
        <f>B15</f>
        <v>-2418</v>
      </c>
      <c r="C24" s="4">
        <f>B24</f>
        <v>-2418</v>
      </c>
    </row>
    <row r="25" spans="1:6" x14ac:dyDescent="0.25">
      <c r="A25" t="s">
        <v>16</v>
      </c>
      <c r="B25" s="2">
        <f>SUM(B23:B24)</f>
        <v>780.75</v>
      </c>
      <c r="C25" s="2">
        <f>SUM(C23:C24)</f>
        <v>780.75</v>
      </c>
    </row>
    <row r="26" spans="1:6" x14ac:dyDescent="0.25">
      <c r="A26" t="s">
        <v>17</v>
      </c>
      <c r="B26" s="4">
        <f>+B19</f>
        <v>317.39</v>
      </c>
      <c r="C26" s="4">
        <v>-91</v>
      </c>
      <c r="D26" s="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opLeftCell="A13" workbookViewId="0">
      <selection activeCell="G21" sqref="G21"/>
    </sheetView>
  </sheetViews>
  <sheetFormatPr baseColWidth="10" defaultRowHeight="15" x14ac:dyDescent="0.25"/>
  <cols>
    <col min="1" max="1" width="18.85546875" bestFit="1" customWidth="1"/>
    <col min="2" max="2" width="11.7109375" bestFit="1" customWidth="1"/>
    <col min="4" max="4" width="15.7109375" bestFit="1" customWidth="1"/>
    <col min="5" max="5" width="10.42578125" bestFit="1" customWidth="1"/>
  </cols>
  <sheetData>
    <row r="1" spans="1:8" x14ac:dyDescent="0.25">
      <c r="A1" s="6">
        <v>2018</v>
      </c>
      <c r="B1" s="6"/>
      <c r="C1" s="7"/>
      <c r="D1" s="8"/>
    </row>
    <row r="2" spans="1:8" x14ac:dyDescent="0.25">
      <c r="A2" s="6" t="s">
        <v>32</v>
      </c>
      <c r="B2" s="9" t="s">
        <v>33</v>
      </c>
      <c r="C2" s="7"/>
      <c r="D2" s="8"/>
      <c r="F2" s="6" t="s">
        <v>53</v>
      </c>
      <c r="G2" s="7"/>
      <c r="H2" s="7"/>
    </row>
    <row r="3" spans="1:8" x14ac:dyDescent="0.25">
      <c r="A3" s="6"/>
      <c r="B3" s="7"/>
      <c r="C3" s="7"/>
      <c r="D3" s="8"/>
      <c r="F3" s="7"/>
      <c r="G3" s="7"/>
      <c r="H3" s="7"/>
    </row>
    <row r="4" spans="1:8" x14ac:dyDescent="0.25">
      <c r="A4" s="7" t="s">
        <v>34</v>
      </c>
      <c r="B4" s="7" t="s">
        <v>35</v>
      </c>
      <c r="C4" s="7" t="s">
        <v>36</v>
      </c>
      <c r="D4" s="8" t="s">
        <v>37</v>
      </c>
      <c r="F4" s="7" t="s">
        <v>54</v>
      </c>
      <c r="G4" s="7" t="s">
        <v>54</v>
      </c>
      <c r="H4" s="7" t="s">
        <v>55</v>
      </c>
    </row>
    <row r="5" spans="1:8" x14ac:dyDescent="0.25">
      <c r="A5" s="7" t="s">
        <v>38</v>
      </c>
      <c r="B5" s="7" t="s">
        <v>39</v>
      </c>
      <c r="C5" s="7" t="s">
        <v>40</v>
      </c>
      <c r="D5" s="8"/>
      <c r="F5" s="7" t="s">
        <v>56</v>
      </c>
      <c r="G5" s="7" t="s">
        <v>57</v>
      </c>
      <c r="H5" s="7" t="s">
        <v>58</v>
      </c>
    </row>
    <row r="6" spans="1:8" x14ac:dyDescent="0.25">
      <c r="A6" s="10">
        <v>0.01</v>
      </c>
      <c r="B6" s="10">
        <v>578.52</v>
      </c>
      <c r="C6" s="10">
        <v>0</v>
      </c>
      <c r="D6" s="11">
        <v>1.92</v>
      </c>
      <c r="F6" s="10">
        <v>0.01</v>
      </c>
      <c r="G6" s="12">
        <v>1768.96</v>
      </c>
      <c r="H6" s="10">
        <v>407.02</v>
      </c>
    </row>
    <row r="7" spans="1:8" x14ac:dyDescent="0.25">
      <c r="A7" s="10">
        <v>578.53</v>
      </c>
      <c r="B7" s="12">
        <v>4910.18</v>
      </c>
      <c r="C7" s="10">
        <v>11.11</v>
      </c>
      <c r="D7" s="11">
        <v>6.4</v>
      </c>
      <c r="F7" s="12">
        <v>1768.97</v>
      </c>
      <c r="G7" s="12">
        <v>2653.38</v>
      </c>
      <c r="H7" s="10">
        <v>406.83</v>
      </c>
    </row>
    <row r="8" spans="1:8" x14ac:dyDescent="0.25">
      <c r="A8" s="12">
        <v>4910.1899999999996</v>
      </c>
      <c r="B8" s="12">
        <v>8629.2000000000007</v>
      </c>
      <c r="C8" s="10">
        <v>288.33</v>
      </c>
      <c r="D8" s="11">
        <v>10.88</v>
      </c>
      <c r="F8" s="12">
        <v>2653.39</v>
      </c>
      <c r="G8" s="12">
        <v>3472.84</v>
      </c>
      <c r="H8" s="10">
        <v>406.62</v>
      </c>
    </row>
    <row r="9" spans="1:8" x14ac:dyDescent="0.25">
      <c r="A9" s="12">
        <v>8629.2099999999991</v>
      </c>
      <c r="B9" s="12">
        <v>10031.07</v>
      </c>
      <c r="C9" s="10">
        <v>692.96</v>
      </c>
      <c r="D9" s="11">
        <v>16</v>
      </c>
      <c r="F9" s="12">
        <v>3472.85</v>
      </c>
      <c r="G9" s="12">
        <v>3537.87</v>
      </c>
      <c r="H9" s="10">
        <v>392.77</v>
      </c>
    </row>
    <row r="10" spans="1:8" x14ac:dyDescent="0.25">
      <c r="A10" s="12">
        <v>10031.08</v>
      </c>
      <c r="B10" s="12">
        <v>12009.94</v>
      </c>
      <c r="C10" s="10">
        <v>917.26</v>
      </c>
      <c r="D10" s="11">
        <v>17.920000000000002</v>
      </c>
      <c r="F10" s="12">
        <v>3537.88</v>
      </c>
      <c r="G10" s="12">
        <v>4446.1499999999996</v>
      </c>
      <c r="H10" s="10">
        <v>382.46</v>
      </c>
    </row>
    <row r="11" spans="1:8" x14ac:dyDescent="0.25">
      <c r="A11" s="12">
        <v>12009.95</v>
      </c>
      <c r="B11" s="12">
        <v>24222.31</v>
      </c>
      <c r="C11" s="12">
        <v>1271.8699999999999</v>
      </c>
      <c r="D11" s="11">
        <v>21.36</v>
      </c>
      <c r="F11" s="12">
        <v>4446.16</v>
      </c>
      <c r="G11" s="12">
        <v>4717.18</v>
      </c>
      <c r="H11" s="10">
        <v>354.23</v>
      </c>
    </row>
    <row r="12" spans="1:8" x14ac:dyDescent="0.25">
      <c r="A12" s="12">
        <v>24222.32</v>
      </c>
      <c r="B12" s="12">
        <v>38177.69</v>
      </c>
      <c r="C12" s="12">
        <v>3880.44</v>
      </c>
      <c r="D12" s="11">
        <v>23.52</v>
      </c>
      <c r="F12" s="12">
        <v>4717.1899999999996</v>
      </c>
      <c r="G12" s="12">
        <v>5335.42</v>
      </c>
      <c r="H12" s="10">
        <v>324.87</v>
      </c>
    </row>
    <row r="13" spans="1:8" x14ac:dyDescent="0.25">
      <c r="A13" s="12">
        <v>38177.699999999997</v>
      </c>
      <c r="B13" s="12">
        <v>72887.5</v>
      </c>
      <c r="C13" s="12">
        <v>7162.74</v>
      </c>
      <c r="D13" s="11">
        <v>30</v>
      </c>
      <c r="F13" s="12">
        <v>5335.43</v>
      </c>
      <c r="G13" s="12">
        <v>6224.67</v>
      </c>
      <c r="H13" s="10">
        <v>294.63</v>
      </c>
    </row>
    <row r="14" spans="1:8" x14ac:dyDescent="0.25">
      <c r="A14" s="12">
        <v>72887.509999999995</v>
      </c>
      <c r="B14" s="12">
        <v>97183.33</v>
      </c>
      <c r="C14" s="12">
        <v>17575.689999999999</v>
      </c>
      <c r="D14" s="11">
        <v>32</v>
      </c>
      <c r="F14" s="12">
        <v>6224.68</v>
      </c>
      <c r="G14" s="12">
        <v>7113.9</v>
      </c>
      <c r="H14" s="10">
        <v>253.54</v>
      </c>
    </row>
    <row r="15" spans="1:8" x14ac:dyDescent="0.25">
      <c r="A15" s="12">
        <v>97183.34</v>
      </c>
      <c r="B15" s="12">
        <v>291550</v>
      </c>
      <c r="C15" s="12">
        <v>25350.35</v>
      </c>
      <c r="D15" s="11">
        <v>34</v>
      </c>
      <c r="F15" s="12">
        <v>7113.91</v>
      </c>
      <c r="G15" s="12">
        <v>7382.33</v>
      </c>
      <c r="H15" s="10">
        <v>217.61</v>
      </c>
    </row>
    <row r="16" spans="1:8" ht="15.75" thickBot="1" x14ac:dyDescent="0.3">
      <c r="A16" s="13">
        <v>291550.01</v>
      </c>
      <c r="B16" s="14">
        <v>50000000</v>
      </c>
      <c r="C16" s="13">
        <v>91435.02</v>
      </c>
      <c r="D16" s="11">
        <v>35</v>
      </c>
      <c r="F16" s="13">
        <v>7382.34</v>
      </c>
      <c r="G16" s="14">
        <v>5000000</v>
      </c>
      <c r="H16" s="14">
        <v>0</v>
      </c>
    </row>
    <row r="17" spans="1:8" ht="15.75" thickTop="1" x14ac:dyDescent="0.25"/>
    <row r="20" spans="1:8" ht="23.25" x14ac:dyDescent="0.25">
      <c r="A20" s="20" t="s">
        <v>42</v>
      </c>
      <c r="B20" s="21" t="str">
        <f>[1]Tablas!A20</f>
        <v>TARIFA</v>
      </c>
      <c r="D20" s="20" t="s">
        <v>52</v>
      </c>
      <c r="E20" s="21"/>
      <c r="G20" s="20" t="s">
        <v>61</v>
      </c>
      <c r="H20" s="21">
        <f>[1]Tablas!G20</f>
        <v>0</v>
      </c>
    </row>
    <row r="21" spans="1:8" x14ac:dyDescent="0.25">
      <c r="A21" s="22" t="s">
        <v>43</v>
      </c>
      <c r="B21" s="17">
        <f>Calculos!B9</f>
        <v>6397.5</v>
      </c>
      <c r="D21" s="22" t="s">
        <v>43</v>
      </c>
      <c r="E21" s="17">
        <f>Calculos!B18</f>
        <v>7178.25</v>
      </c>
      <c r="G21" s="22" t="s">
        <v>43</v>
      </c>
      <c r="H21" s="17">
        <f>Calculos!F9</f>
        <v>6463</v>
      </c>
    </row>
    <row r="22" spans="1:8" x14ac:dyDescent="0.25">
      <c r="A22" s="22" t="s">
        <v>44</v>
      </c>
      <c r="B22" s="17">
        <f>VLOOKUP(B21,$A$6:$D$16,1)</f>
        <v>4910.1899999999996</v>
      </c>
      <c r="D22" s="22" t="s">
        <v>44</v>
      </c>
      <c r="E22" s="17">
        <f>VLOOKUP(E21,$A$6:$D$16,1)</f>
        <v>4910.1899999999996</v>
      </c>
      <c r="G22" s="22" t="s">
        <v>44</v>
      </c>
      <c r="H22" s="17">
        <f>VLOOKUP(H21,$A$6:$D$16,1)</f>
        <v>4910.1899999999996</v>
      </c>
    </row>
    <row r="23" spans="1:8" x14ac:dyDescent="0.25">
      <c r="A23" s="22" t="s">
        <v>45</v>
      </c>
      <c r="B23" s="17">
        <f>ROUND(B21-B22,2)</f>
        <v>1487.31</v>
      </c>
      <c r="D23" s="22" t="s">
        <v>45</v>
      </c>
      <c r="E23" s="17">
        <f>ROUND(E21-E22,2)</f>
        <v>2268.06</v>
      </c>
      <c r="G23" s="22" t="s">
        <v>45</v>
      </c>
      <c r="H23" s="17">
        <f>ROUND(H21-H22,2)</f>
        <v>1552.81</v>
      </c>
    </row>
    <row r="24" spans="1:8" x14ac:dyDescent="0.25">
      <c r="A24" s="22"/>
      <c r="B24" s="17"/>
      <c r="D24" s="22"/>
      <c r="E24" s="17"/>
      <c r="G24" s="22"/>
      <c r="H24" s="17"/>
    </row>
    <row r="25" spans="1:8" x14ac:dyDescent="0.25">
      <c r="A25" s="22" t="s">
        <v>46</v>
      </c>
      <c r="B25" s="17">
        <f>VLOOKUP(B21,$A$6:$D$16,4)</f>
        <v>10.88</v>
      </c>
      <c r="D25" s="22" t="s">
        <v>46</v>
      </c>
      <c r="E25" s="17">
        <f>VLOOKUP(E21,$A$6:$D$16,4)</f>
        <v>10.88</v>
      </c>
      <c r="G25" s="22" t="s">
        <v>46</v>
      </c>
      <c r="H25" s="17">
        <f>VLOOKUP(H21,$A$6:$D$16,4)</f>
        <v>10.88</v>
      </c>
    </row>
    <row r="26" spans="1:8" x14ac:dyDescent="0.25">
      <c r="A26" s="22" t="s">
        <v>47</v>
      </c>
      <c r="B26" s="17">
        <f>B23*(B25/100)</f>
        <v>161.81932800000001</v>
      </c>
      <c r="D26" s="22" t="s">
        <v>47</v>
      </c>
      <c r="E26" s="17">
        <f>E23*(E25/100)</f>
        <v>246.764928</v>
      </c>
      <c r="G26" s="22" t="s">
        <v>47</v>
      </c>
      <c r="H26" s="17">
        <f>H23*(H25/100)</f>
        <v>168.945728</v>
      </c>
    </row>
    <row r="27" spans="1:8" x14ac:dyDescent="0.25">
      <c r="A27" s="22" t="s">
        <v>48</v>
      </c>
      <c r="B27" s="17">
        <f>VLOOKUP(B21,$A$6:$D$16,3)</f>
        <v>288.33</v>
      </c>
      <c r="D27" s="22" t="s">
        <v>48</v>
      </c>
      <c r="E27" s="17">
        <f>VLOOKUP(E21,$A$6:$D$16,3)</f>
        <v>288.33</v>
      </c>
      <c r="G27" s="22" t="s">
        <v>48</v>
      </c>
      <c r="H27" s="17">
        <f>VLOOKUP(H21,$A$6:$D$16,3)</f>
        <v>288.33</v>
      </c>
    </row>
    <row r="28" spans="1:8" x14ac:dyDescent="0.25">
      <c r="A28" s="23" t="s">
        <v>49</v>
      </c>
      <c r="B28" s="18">
        <f>ROUND(B26+B27,0)</f>
        <v>450</v>
      </c>
      <c r="D28" s="23" t="s">
        <v>49</v>
      </c>
      <c r="E28" s="18">
        <f>ROUND(E26+E27,0)</f>
        <v>535</v>
      </c>
      <c r="G28" s="23" t="s">
        <v>49</v>
      </c>
      <c r="H28" s="18">
        <f>ROUND(H26+H27,0)</f>
        <v>457</v>
      </c>
    </row>
    <row r="29" spans="1:8" x14ac:dyDescent="0.25">
      <c r="A29" s="23"/>
      <c r="B29" s="17"/>
      <c r="D29" s="23"/>
      <c r="E29" s="17"/>
      <c r="G29" s="23"/>
      <c r="H29" s="17"/>
    </row>
    <row r="30" spans="1:8" x14ac:dyDescent="0.25">
      <c r="A30" s="23" t="s">
        <v>59</v>
      </c>
      <c r="B30" s="17">
        <f>VLOOKUP(B21,$F$6:$H$16,3)</f>
        <v>253.54</v>
      </c>
      <c r="D30" s="23" t="s">
        <v>59</v>
      </c>
      <c r="E30" s="17">
        <f>VLOOKUP(E21,$F$6:$H$16,3)</f>
        <v>217.61</v>
      </c>
      <c r="G30" s="23" t="s">
        <v>59</v>
      </c>
      <c r="H30" s="17">
        <f>VLOOKUP(H21,$F$6:$H$16,3)</f>
        <v>253.54</v>
      </c>
    </row>
    <row r="31" spans="1:8" x14ac:dyDescent="0.25">
      <c r="A31" s="23"/>
      <c r="B31" s="17"/>
      <c r="D31" s="23"/>
      <c r="E31" s="17"/>
      <c r="G31" s="23"/>
      <c r="H31" s="17"/>
    </row>
    <row r="32" spans="1:8" x14ac:dyDescent="0.25">
      <c r="A32" s="23" t="s">
        <v>60</v>
      </c>
      <c r="B32" s="17">
        <f>+B28-B30</f>
        <v>196.46</v>
      </c>
      <c r="D32" s="23" t="s">
        <v>60</v>
      </c>
      <c r="E32" s="17">
        <f>+E28-E30</f>
        <v>317.39</v>
      </c>
      <c r="G32" s="23" t="s">
        <v>60</v>
      </c>
      <c r="H32" s="17">
        <f>+H28-H30</f>
        <v>203.46</v>
      </c>
    </row>
    <row r="33" spans="1:8" x14ac:dyDescent="0.25">
      <c r="A33" s="23" t="s">
        <v>50</v>
      </c>
      <c r="B33" s="17">
        <f>+B21-B32</f>
        <v>6201.04</v>
      </c>
      <c r="D33" s="23" t="s">
        <v>50</v>
      </c>
      <c r="E33" s="17">
        <f>+E21-E32</f>
        <v>6860.86</v>
      </c>
      <c r="G33" s="23" t="s">
        <v>50</v>
      </c>
      <c r="H33" s="17">
        <f>+H21-H32</f>
        <v>6259.54</v>
      </c>
    </row>
    <row r="34" spans="1:8" x14ac:dyDescent="0.25">
      <c r="A34" s="22"/>
      <c r="B34" s="19">
        <f>B28/B21</f>
        <v>7.0339976553341149E-2</v>
      </c>
      <c r="D34" s="22"/>
      <c r="E34" s="19">
        <f>E28/E21</f>
        <v>7.4530700379618994E-2</v>
      </c>
      <c r="G34" s="22"/>
      <c r="H34" s="19">
        <f>H28/H21</f>
        <v>7.0710196503171896E-2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Aguinaldo</vt:lpstr>
      <vt:lpstr>Calculos</vt:lpstr>
      <vt:lpstr>ISR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Ana</cp:lastModifiedBy>
  <cp:lastPrinted>2016-10-26T00:45:57Z</cp:lastPrinted>
  <dcterms:created xsi:type="dcterms:W3CDTF">2016-10-26T00:03:24Z</dcterms:created>
  <dcterms:modified xsi:type="dcterms:W3CDTF">2018-11-08T23:01:23Z</dcterms:modified>
</cp:coreProperties>
</file>